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5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<sst xmlns="http://schemas.openxmlformats.org/spreadsheetml/2006/main" count="1067" uniqueCount="873">
  <si>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</si>
  <si>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</si>
  <si>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</si>
  <si>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</si>
  <si>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</si>
  <si>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</si>
  <si>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</si>
  <si>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</si>
  <si>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</si>
  <si>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</si>
  <si>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</si>
  <si>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</si>
  <si>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</si>
  <si>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</si>
  <si>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</si>
  <si>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</si>
  <si>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</si>
  <si>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</si>
  <si>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</si>
  <si>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</si>
  <si>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</si>
  <si>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</si>
  <si>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</si>
  <si>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</si>
  <si>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</si>
  <si>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</si>
  <si>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</si>
  <si>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</si>
  <si>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</si>
  <si>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</si>
  <si>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</si>
  <si>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</si>
  <si>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</si>
  <si>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</si>
  <si>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</si>
  <si>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</si>
  <si>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</si>
  <si>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</si>
  <si>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</si>
  <si>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</si>
  <si>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</si>
  <si>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</si>
  <si>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</si>
  <si>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</si>
  <si>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</si>
  <si>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</si>
  <si>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</si>
  <si>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</si>
  <si>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</si>
  <si>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</si>
  <si>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</si>
  <si>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</si>
  <si>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</si>
  <si>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</si>
  <si>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</si>
  <si>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</si>
  <si>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</si>
  <si>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</si>
  <si>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</si>
  <si>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</si>
  <si>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</si>
  <si>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</si>
  <si>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</si>
  <si>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</si>
  <si>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</si>
  <si>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</si>
  <si>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</si>
  <si>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</si>
  <si>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</si>
  <si>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</si>
  <si>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</si>
  <si>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</si>
  <si>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</si>
  <si>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</si>
  <si>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</si>
  <si>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</si>
  <si>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</si>
  <si>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</si>
  <si>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</si>
  <si>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</si>
  <si>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</si>
  <si>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</si>
  <si>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</si>
  <si>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</si>
  <si>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</si>
  <si>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</si>
  <si>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</si>
  <si>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</si>
  <si>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</si>
  <si>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</si>
  <si>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</si>
  <si>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</si>
  <si>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</si>
  <si>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</si>
  <si>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</si>
  <si>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</si>
  <si>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</si>
  <si>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</si>
  <si>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</si>
  <si>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</si>
  <si>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</si>
  <si>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</si>
  <si>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</si>
  <si>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</si>
  <si>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</si>
  <si>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</si>
  <si>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</si>
  <si>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</si>
  <si>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</si>
  <si>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</si>
  <si>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</si>
  <si>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</si>
  <si>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</si>
  <si>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</si>
  <si>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</si>
  <si>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</si>
  <si>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</si>
  <si>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</si>
  <si>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</si>
  <si>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</si>
  <si>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</si>
  <si>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</si>
  <si>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</si>
  <si>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</si>
  <si>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</si>
  <si>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</si>
  <si>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</si>
  <si>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</si>
  <si>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</si>
  <si>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</si>
  <si>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</si>
  <si>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</si>
  <si>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</si>
  <si>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</si>
  <si>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</si>
  <si>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</si>
  <si>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</si>
  <si>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</si>
  <si>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</si>
  <si>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</si>
  <si>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</si>
  <si>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</si>
  <si>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</si>
  <si>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</si>
  <si>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</si>
  <si>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</si>
  <si>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</si>
  <si>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</si>
  <si>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</si>
  <si>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</si>
  <si>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</si>
  <si>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</si>
  <si>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</si>
  <si>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</si>
  <si>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</si>
  <si>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</si>
  <si>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</si>
  <si>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</si>
  <si>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</si>
  <si>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</si>
  <si>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</si>
  <si>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</si>
  <si>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</si>
  <si>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</si>
  <si>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</si>
  <si>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</si>
  <si>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</si>
  <si>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</si>
  <si>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</si>
  <si>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</si>
  <si>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</si>
  <si>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</si>
  <si>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</si>
  <si>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</si>
  <si>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</si>
  <si>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</si>
  <si>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</si>
  <si>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</si>
  <si>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</si>
  <si>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</si>
  <si>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</si>
  <si>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</si>
  <si>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</si>
  <si>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</si>
  <si>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</si>
  <si>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</si>
  <si>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</si>
  <si>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</si>
  <si>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</si>
  <si>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</si>
  <si>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</si>
  <si>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</si>
  <si>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</si>
  <si>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</si>
  <si>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</si>
  <si>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</si>
  <si>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</si>
  <si>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</si>
  <si>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</si>
  <si>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</si>
  <si>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</si>
  <si>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</si>
  <si>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</si>
  <si>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</si>
  <si>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</si>
  <si>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</si>
  <si>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</si>
  <si>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</si>
  <si>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</si>
  <si>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</si>
  <si>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</si>
  <si>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</si>
  <si>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</si>
  <si>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</si>
  <si>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</si>
  <si>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</si>
  <si>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</si>
  <si>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</si>
  <si>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</si>
  <si>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</si>
  <si>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</si>
  <si>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</si>
  <si>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</si>
  <si>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</si>
  <si>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</si>
  <si>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</si>
  <si>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</si>
  <si>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</si>
  <si>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</si>
  <si>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</si>
  <si>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</si>
  <si>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</si>
  <si>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</si>
  <si>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</si>
  <si>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</si>
  <si>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</si>
  <si>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</si>
  <si>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</si>
  <si>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</si>
  <si>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</si>
  <si>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</si>
  <si>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</si>
  <si>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</si>
  <si>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</si>
  <si>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</si>
  <si>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</si>
  <si>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</si>
  <si>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</si>
  <si>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</si>
  <si>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</si>
  <si>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</si>
  <si>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</si>
  <si>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</si>
  <si>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</si>
  <si>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</si>
  <si>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</si>
  <si>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</si>
  <si>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</si>
  <si>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</si>
  <si>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</si>
  <si>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</si>
  <si>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</si>
  <si>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</si>
  <si>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</si>
  <si>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</si>
  <si>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</si>
  <si>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</si>
  <si>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</si>
  <si>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</si>
  <si>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</si>
  <si>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</si>
  <si>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</si>
  <si>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</si>
  <si>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</si>
  <si>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</si>
  <si>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</si>
  <si>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</si>
  <si>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</si>
  <si>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</si>
  <si>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</si>
  <si>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</si>
  <si>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</si>
  <si>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</si>
  <si>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</si>
  <si>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</si>
  <si>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</si>
  <si>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</si>
  <si>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</si>
  <si>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</si>
  <si>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</si>
  <si>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</si>
  <si>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</si>
  <si>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</si>
  <si>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</si>
  <si>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</si>
  <si>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</si>
  <si>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</si>
  <si>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</si>
  <si>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</si>
  <si>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</si>
  <si>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</si>
  <si>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</si>
  <si>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</si>
  <si>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</si>
  <si>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</si>
  <si>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</si>
  <si>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</si>
  <si>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</si>
  <si>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</si>
  <si>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</si>
  <si>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</si>
  <si>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</si>
  <si>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</si>
  <si>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</si>
  <si>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</si>
  <si>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</si>
  <si>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</si>
  <si>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</si>
  <si>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</si>
  <si>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</si>
  <si>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</si>
  <si>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</si>
  <si>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</si>
  <si>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</si>
  <si>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</si>
  <si>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</si>
  <si>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</si>
  <si>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</si>
  <si>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</si>
  <si>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</si>
  <si>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</si>
  <si>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</si>
  <si>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</si>
  <si>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</si>
  <si>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</si>
  <si>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</si>
  <si>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</si>
  <si>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</si>
  <si>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</si>
  <si>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</si>
  <si>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</si>
  <si>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</si>
  <si>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</si>
  <si>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</si>
  <si>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</si>
  <si>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</si>
  <si>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</si>
  <si>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</si>
  <si>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</si>
  <si>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</si>
  <si>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</si>
  <si>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</si>
  <si>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</si>
  <si>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</si>
  <si>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</si>
  <si>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</si>
  <si>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</si>
  <si>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</si>
  <si>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</si>
  <si>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</si>
  <si>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</si>
  <si>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</si>
  <si>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</si>
  <si>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</si>
  <si>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</si>
  <si>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</si>
  <si>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</si>
  <si>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</si>
  <si>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</si>
  <si>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</si>
  <si>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</si>
  <si>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</si>
  <si>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</si>
  <si>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</si>
  <si>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</si>
  <si>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</si>
  <si>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</si>
  <si>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</si>
  <si>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</si>
  <si>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</si>
  <si>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</si>
  <si>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</si>
  <si>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</si>
  <si>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</si>
  <si>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</si>
  <si>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</si>
  <si>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</si>
  <si>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</si>
  <si>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</si>
  <si>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</si>
  <si>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</si>
  <si>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</si>
  <si>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</si>
  <si>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</si>
  <si>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</si>
  <si>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</si>
  <si>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</si>
  <si>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</si>
  <si>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</si>
  <si>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</si>
  <si>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</si>
  <si>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</si>
  <si>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</si>
  <si>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</si>
  <si>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</si>
  <si>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</si>
  <si>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</si>
  <si>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</si>
  <si>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</si>
  <si>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</si>
  <si>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</si>
  <si>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</si>
  <si>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</si>
  <si>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</si>
  <si>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</si>
  <si>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</si>
  <si>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</si>
  <si>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</si>
  <si>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</si>
  <si>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</si>
  <si>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</si>
  <si>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</si>
  <si>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</si>
  <si>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</si>
  <si>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</si>
  <si>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</si>
  <si>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</si>
  <si>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</si>
  <si>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</si>
  <si>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</si>
  <si>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</si>
  <si>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</si>
  <si>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</si>
  <si>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</si>
  <si>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</si>
  <si>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</si>
  <si>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</si>
  <si>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</si>
  <si>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</si>
  <si>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</si>
  <si>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</si>
  <si>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</si>
  <si>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</si>
  <si>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</si>
  <si>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</si>
  <si>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</si>
  <si>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</si>
  <si>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</si>
  <si>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</si>
  <si>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</si>
  <si>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</si>
  <si>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</si>
  <si>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</si>
  <si>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</si>
  <si>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</si>
  <si>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</si>
  <si>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</si>
  <si>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</si>
  <si>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</si>
  <si>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</si>
  <si>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</si>
  <si>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</si>
  <si>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</si>
  <si>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</si>
  <si>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</si>
  <si>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</si>
  <si>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</si>
  <si>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</si>
  <si>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</si>
  <si>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</si>
  <si>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</si>
  <si>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</si>
  <si>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</si>
  <si>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</si>
  <si>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</si>
  <si>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</si>
  <si>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</si>
  <si>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</si>
  <si>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</si>
  <si>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</si>
  <si>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</si>
  <si>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</si>
  <si>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</si>
  <si>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</si>
  <si>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</si>
  <si>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</si>
  <si>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</si>
  <si>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</si>
  <si>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</si>
  <si>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</si>
  <si>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</si>
  <si>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</si>
  <si>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</si>
  <si>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</si>
  <si>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</si>
  <si>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</si>
  <si>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</si>
  <si>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</si>
  <si>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</si>
  <si>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</si>
  <si>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</si>
  <si>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</si>
  <si>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</si>
  <si>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</si>
  <si>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</si>
  <si>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</si>
  <si>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</si>
  <si>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</si>
  <si>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</si>
  <si>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</si>
  <si>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</si>
  <si>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</si>
  <si>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</si>
  <si>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</si>
  <si>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</si>
  <si>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</si>
  <si>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</si>
  <si>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</si>
  <si>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</si>
  <si>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</si>
  <si>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</si>
  <si>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</si>
  <si>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</si>
  <si>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</si>
  <si>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</si>
  <si>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</si>
  <si>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</si>
  <si>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</si>
  <si>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</si>
  <si>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</si>
  <si>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</si>
  <si>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</si>
  <si>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</si>
  <si>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</si>
  <si>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</si>
  <si>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</si>
  <si>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</si>
  <si>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</si>
  <si>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</si>
  <si>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</si>
  <si>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</si>
  <si>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</si>
  <si>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</si>
  <si>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</si>
  <si>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</si>
  <si>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</si>
  <si>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</si>
  <si>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</si>
  <si>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</si>
  <si>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</si>
  <si>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</si>
  <si>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</si>
  <si>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</si>
  <si>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</si>
  <si>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</si>
  <si>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</si>
  <si>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</si>
  <si>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</si>
  <si>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</si>
  <si>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</si>
  <si>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</si>
  <si>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</si>
  <si>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</si>
  <si>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</si>
  <si>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</si>
  <si>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</si>
  <si>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</si>
  <si>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</si>
  <si>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</si>
  <si>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</si>
  <si>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</si>
  <si>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</si>
  <si>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</si>
  <si>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</si>
  <si>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</si>
  <si>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</si>
  <si>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</si>
  <si>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</si>
  <si>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</si>
  <si>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</si>
  <si>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</si>
  <si>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</si>
  <si>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</si>
  <si>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</si>
  <si>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</si>
  <si>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</si>
  <si>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</si>
  <si>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</si>
  <si>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</si>
  <si>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</si>
  <si>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</si>
  <si>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</si>
  <si>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</si>
  <si>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</si>
  <si>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</si>
  <si>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</si>
  <si>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</si>
  <si>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</si>
  <si>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</si>
  <si>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</si>
  <si>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</si>
  <si>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</si>
  <si>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</si>
  <si>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</si>
  <si>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</si>
  <si>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</si>
  <si>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</si>
  <si>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</si>
  <si>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</si>
  <si>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</si>
  <si>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</si>
  <si>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</si>
  <si>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</si>
  <si>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</si>
  <si>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</si>
  <si>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</si>
  <si>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</si>
  <si>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</si>
  <si>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</si>
  <si>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</si>
  <si>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</si>
  <si>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</si>
  <si>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</si>
  <si>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</si>
  <si>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</si>
  <si>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</si>
  <si>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</si>
  <si>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</si>
  <si>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</si>
  <si>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</si>
  <si>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</si>
  <si>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</si>
  <si>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</si>
  <si>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</si>
  <si>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</si>
  <si>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</si>
  <si>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</si>
  <si>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</si>
  <si>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</si>
  <si>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</si>
  <si>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</si>
  <si>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</si>
  <si>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</si>
  <si>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</si>
  <si>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</si>
  <si>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</si>
  <si>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</si>
  <si>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</si>
  <si>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</si>
  <si>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</si>
  <si>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</si>
  <si>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</si>
  <si>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</si>
  <si>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</si>
  <si>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</si>
  <si>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</si>
  <si>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</si>
  <si>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</si>
  <si>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</si>
  <si>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</si>
  <si>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</si>
  <si>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</si>
  <si>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</si>
  <si>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</si>
  <si>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</si>
  <si>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</si>
  <si>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</si>
  <si>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</si>
  <si>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</si>
  <si>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</si>
  <si>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</si>
  <si>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</si>
  <si>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</si>
  <si>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</si>
  <si>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</si>
  <si>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</si>
  <si>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</si>
  <si>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</si>
  <si>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</si>
  <si>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</si>
  <si>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</si>
  <si>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</si>
  <si>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</si>
  <si>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</si>
  <si>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</si>
  <si>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</si>
  <si>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</si>
  <si>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</si>
  <si>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</si>
  <si>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</si>
  <si>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</si>
  <si>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</si>
  <si>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</si>
  <si>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</si>
  <si>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</si>
  <si>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</si>
  <si>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</si>
  <si>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</si>
  <si>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</si>
  <si>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</si>
  <si>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</si>
  <si>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</si>
  <si>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</si>
  <si>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</si>
  <si>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</si>
  <si>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</si>
  <si>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</si>
  <si>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</si>
  <si>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</si>
  <si>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</si>
  <si>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</si>
  <si>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</si>
  <si>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</si>
  <si>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</si>
  <si>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</si>
  <si>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</si>
  <si>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</si>
  <si>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</si>
  <si>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</si>
  <si>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</si>
  <si>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</si>
  <si>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</si>
  <si>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</si>
  <si>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</si>
  <si>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</si>
  <si>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</si>
  <si>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</si>
  <si>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</si>
  <si>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</si>
  <si>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</si>
  <si>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</si>
  <si>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</si>
  <si>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</si>
  <si>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</si>
  <si>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</si>
  <si>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</si>
  <si>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</si>
  <si>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</si>
  <si>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</si>
  <si>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</si>
  <si>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</si>
  <si>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</si>
  <si>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</si>
  <si>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</si>
  <si>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</si>
  <si>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</si>
  <si>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</si>
  <si>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</si>
  <si>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</si>
  <si>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</si>
  <si>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</si>
  <si>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</si>
  <si>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</si>
  <si>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</si>
  <si>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</si>
  <si>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</si>
  <si>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</si>
  <si>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</si>
  <si>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</si>
  <si>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</si>
  <si>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</si>
  <si>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</si>
  <si>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</si>
  <si>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</si>
  <si>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</si>
  <si>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</si>
  <si>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</si>
  <si>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</si>
  <si>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</si>
  <si>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</si>
  <si>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</si>
  <si>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</si>
  <si>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</si>
  <si>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</si>
  <si>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</si>
  <si>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</si>
  <si>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</si>
  <si>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</si>
  <si>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</si>
  <si>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</si>
  <si>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</si>
  <si>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</si>
  <si>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</si>
  <si>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</si>
  <si>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</si>
  <si>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</si>
  <si>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</si>
  <si>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</si>
  <si>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</si>
  <si>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</si>
  <si>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</si>
  <si>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</si>
  <si>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</si>
  <si>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</si>
  <si>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</si>
  <si>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</si>
  <si>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</si>
  <si>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</si>
  <si>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</si>
  <si>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</si>
  <si>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</si>
  <si>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</si>
  <si>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</si>
  <si>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</si>
  <si>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</si>
  <si>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</si>
  <si>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</si>
  <si>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</si>
  <si>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</si>
  <si>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</si>
  <si>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</si>
  <si>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</si>
  <si>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</si>
  <si>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</si>
  <si>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</si>
  <si>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</si>
  <si>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</si>
  <si>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</si>
  <si>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</si>
  <si>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</si>
  <si>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</si>
  <si>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</si>
  <si>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</si>
  <si>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</si>
  <si>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</si>
  <si>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</si>
  <si>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</si>
  <si>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</si>
  <si>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</si>
  <si>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</si>
  <si>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</si>
  <si>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</si>
  <si>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</si>
  <si>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</si>
  <si>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</si>
  <si>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</si>
  <si>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</si>
  <si>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</si>
  <si>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</si>
  <si>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</si>
  <si>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</si>
  <si>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</si>
  <si>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</si>
  <si>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</si>
  <si>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</si>
  <si>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</si>
  <si>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</si>
  <si>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</si>
  <si>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</si>
  <si>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</si>
  <si>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</si>
  <si>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</si>
  <si>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</si>
  <si>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</si>
  <si>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</si>
  <si>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</si>
  <si>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</si>
  <si>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Енерджи-Кърджали АД</t>
  </si>
  <si>
    <t>01.01.2016-30.06.2016</t>
  </si>
  <si>
    <t>Дата на съставяне: 20.07.2016 г.</t>
  </si>
  <si>
    <t>Съставител: Р.Иванова</t>
  </si>
  <si>
    <t>20.07.2016 г.</t>
  </si>
  <si>
    <t>Р.Иванова</t>
  </si>
  <si>
    <t>Представляващи:</t>
  </si>
  <si>
    <t xml:space="preserve">Дата на съставяне: 20.07.2016 г.                                 </t>
  </si>
  <si>
    <t>Представляващи : Д.Димитров и М.Русенова</t>
  </si>
  <si>
    <t>Д.Димитров и М.Русенова</t>
  </si>
  <si>
    <t>Представляващи: Д.Димитров и М.Русенова</t>
  </si>
  <si>
    <t xml:space="preserve">Дата  на съставяне: 20.07.2016 г.                                                                                                     </t>
  </si>
  <si>
    <t xml:space="preserve">Представляващи: </t>
  </si>
  <si>
    <t xml:space="preserve">                                    Съставител: Р.Иванова</t>
  </si>
  <si>
    <t>Представляващи</t>
  </si>
  <si>
    <r>
      <t xml:space="preserve">Дата на съставяне: </t>
    </r>
    <r>
      <rPr>
        <sz val="10"/>
        <rFont val="Times New Roman"/>
        <family val="1"/>
      </rPr>
      <t>20.07.2016 г.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</si>
</sst>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zoomScalePageLayoutView="0" workbookViewId="0" topLeftCell="A1">
      <selection activeCell="G55" sqref="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857</v>
      </c>
      <c r="F3" s="217" t="s">
        <v>2</v>
      </c>
      <c r="G3" s="172"/>
      <c r="H3" s="461">
        <v>200611495</v>
      </c>
    </row>
    <row r="4" spans="1:8" ht="15">
      <c r="A4" s="575" t="s">
        <v>3</v>
      </c>
      <c r="B4" s="581"/>
      <c r="C4" s="581"/>
      <c r="D4" s="581"/>
      <c r="E4" s="504"/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858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1170</v>
      </c>
      <c r="D11" s="151">
        <v>1201</v>
      </c>
      <c r="E11" s="237" t="s">
        <v>22</v>
      </c>
      <c r="F11" s="242" t="s">
        <v>23</v>
      </c>
      <c r="G11" s="152">
        <v>1480</v>
      </c>
      <c r="H11" s="152">
        <v>1480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1480</v>
      </c>
      <c r="H12" s="153">
        <v>1480</v>
      </c>
    </row>
    <row r="13" spans="1:8" ht="15">
      <c r="A13" s="235" t="s">
        <v>28</v>
      </c>
      <c r="B13" s="241" t="s">
        <v>29</v>
      </c>
      <c r="C13" s="151">
        <v>9208</v>
      </c>
      <c r="D13" s="151">
        <v>10008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57</v>
      </c>
      <c r="D16" s="151">
        <v>59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40</v>
      </c>
      <c r="D17" s="151"/>
      <c r="E17" s="243" t="s">
        <v>46</v>
      </c>
      <c r="F17" s="245" t="s">
        <v>47</v>
      </c>
      <c r="G17" s="154">
        <f>G11+G14+G15+G16</f>
        <v>1480</v>
      </c>
      <c r="H17" s="154">
        <f>H11+H14+H15+H16</f>
        <v>1480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10475</v>
      </c>
      <c r="D19" s="155">
        <f>SUM(D11:D18)</f>
        <v>11268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321</v>
      </c>
      <c r="H21" s="156">
        <f>SUM(H22:H24)</f>
        <v>321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321</v>
      </c>
      <c r="H22" s="152">
        <v>321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321</v>
      </c>
      <c r="H25" s="154">
        <f>H19+H20+H21</f>
        <v>321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2522</v>
      </c>
      <c r="H27" s="154">
        <f>SUM(H28:H30)</f>
        <v>1542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2522</v>
      </c>
      <c r="H28" s="152">
        <v>1542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690</v>
      </c>
      <c r="H31" s="152">
        <v>980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3212</v>
      </c>
      <c r="H33" s="154">
        <f>H27+H31+H32</f>
        <v>2522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5013</v>
      </c>
      <c r="H36" s="154">
        <f>H25+H17+H33</f>
        <v>4323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>
        <v>207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5714</v>
      </c>
      <c r="H44" s="152">
        <v>6122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739</v>
      </c>
      <c r="D47" s="151">
        <v>316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5714</v>
      </c>
      <c r="H49" s="154">
        <f>SUM(H43:H48)</f>
        <v>6329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739</v>
      </c>
      <c r="D51" s="155">
        <f>SUM(D47:D50)</f>
        <v>316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336</v>
      </c>
      <c r="H53" s="152">
        <v>416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11214</v>
      </c>
      <c r="D55" s="155">
        <f>D19+D20+D21+D27+D32+D45+D51+D53+D54</f>
        <v>11584</v>
      </c>
      <c r="E55" s="237" t="s">
        <v>172</v>
      </c>
      <c r="F55" s="261" t="s">
        <v>173</v>
      </c>
      <c r="G55" s="154">
        <f>G49+G51+G52+G53+G54</f>
        <v>6050</v>
      </c>
      <c r="H55" s="154">
        <f>H49+H51+H52+H53+H54</f>
        <v>6745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</v>
      </c>
      <c r="H59" s="152">
        <v>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681</v>
      </c>
      <c r="H60" s="152">
        <v>662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248</v>
      </c>
      <c r="H61" s="154">
        <f>SUM(H62:H68)</f>
        <v>191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152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17</v>
      </c>
      <c r="H64" s="152">
        <v>22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508</v>
      </c>
      <c r="D68" s="151">
        <v>115</v>
      </c>
      <c r="E68" s="237" t="s">
        <v>213</v>
      </c>
      <c r="F68" s="242" t="s">
        <v>214</v>
      </c>
      <c r="G68" s="152">
        <v>230</v>
      </c>
      <c r="H68" s="152">
        <v>17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50</v>
      </c>
      <c r="H69" s="152">
        <v>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4</v>
      </c>
      <c r="D71" s="151">
        <v>3</v>
      </c>
      <c r="E71" s="253" t="s">
        <v>46</v>
      </c>
      <c r="F71" s="273" t="s">
        <v>224</v>
      </c>
      <c r="G71" s="161">
        <f>G59+G60+G61+G69+G70</f>
        <v>983</v>
      </c>
      <c r="H71" s="161">
        <f>H59+H60+H61+H69+H70</f>
        <v>872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512</v>
      </c>
      <c r="D75" s="155">
        <f>SUM(D67:D74)</f>
        <v>118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983</v>
      </c>
      <c r="H79" s="162">
        <f>H71+H74+H75+H76</f>
        <v>872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167</v>
      </c>
      <c r="D88" s="151">
        <v>93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130</v>
      </c>
      <c r="D89" s="151">
        <v>131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297</v>
      </c>
      <c r="D91" s="155">
        <f>SUM(D87:D90)</f>
        <v>226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23</v>
      </c>
      <c r="D92" s="151">
        <v>12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832</v>
      </c>
      <c r="D93" s="155">
        <f>D64+D75+D84+D91+D92</f>
        <v>356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12046</v>
      </c>
      <c r="D94" s="164">
        <f>D93+D55</f>
        <v>11940</v>
      </c>
      <c r="E94" s="449" t="s">
        <v>270</v>
      </c>
      <c r="F94" s="289" t="s">
        <v>271</v>
      </c>
      <c r="G94" s="165">
        <f>G36+G39+G55+G79</f>
        <v>12046</v>
      </c>
      <c r="H94" s="165">
        <f>H36+H39+H55+H79</f>
        <v>11940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859</v>
      </c>
      <c r="B98" s="432"/>
      <c r="C98" s="579" t="s">
        <v>860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867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51" sqref="D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Енерджи-Кърджали АД</v>
      </c>
      <c r="C2" s="584"/>
      <c r="D2" s="584"/>
      <c r="E2" s="584"/>
      <c r="F2" s="586" t="s">
        <v>2</v>
      </c>
      <c r="G2" s="586"/>
      <c r="H2" s="526">
        <f>'справка №1-БАЛАНС'!H3</f>
        <v>200611495</v>
      </c>
    </row>
    <row r="3" spans="1:8" ht="15">
      <c r="A3" s="467" t="s">
        <v>274</v>
      </c>
      <c r="B3" s="584">
        <f>'справка №1-БАЛАНС'!E4</f>
        <v>0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01.01.2016-30.06.2016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>
        <v>2010</v>
      </c>
      <c r="H9" s="550">
        <v>1885</v>
      </c>
    </row>
    <row r="10" spans="1:8" ht="12">
      <c r="A10" s="298" t="s">
        <v>286</v>
      </c>
      <c r="B10" s="299" t="s">
        <v>287</v>
      </c>
      <c r="C10" s="46">
        <v>256</v>
      </c>
      <c r="D10" s="46">
        <v>149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835</v>
      </c>
      <c r="D11" s="46">
        <v>832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9</v>
      </c>
      <c r="D12" s="46">
        <v>8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2010</v>
      </c>
      <c r="H13" s="548">
        <f>SUM(H9:H12)</f>
        <v>1885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1103</v>
      </c>
      <c r="D19" s="49">
        <f>SUM(D9:D15)+D16</f>
        <v>992</v>
      </c>
      <c r="E19" s="304" t="s">
        <v>316</v>
      </c>
      <c r="F19" s="552" t="s">
        <v>317</v>
      </c>
      <c r="G19" s="550">
        <v>11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138</v>
      </c>
      <c r="D22" s="46">
        <v>300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11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14</v>
      </c>
      <c r="D25" s="46">
        <v>56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152</v>
      </c>
      <c r="D26" s="49">
        <f>SUM(D22:D25)</f>
        <v>357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1255</v>
      </c>
      <c r="D28" s="50">
        <f>D26+D19</f>
        <v>1349</v>
      </c>
      <c r="E28" s="127" t="s">
        <v>338</v>
      </c>
      <c r="F28" s="554" t="s">
        <v>339</v>
      </c>
      <c r="G28" s="548">
        <f>G13+G15+G24</f>
        <v>2021</v>
      </c>
      <c r="H28" s="548">
        <f>H13+H15+H24</f>
        <v>1885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766</v>
      </c>
      <c r="D30" s="50">
        <f>IF((H28-D28)&gt;0,H28-D28,0)</f>
        <v>536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1255</v>
      </c>
      <c r="D33" s="49">
        <f>D28-D31+D32</f>
        <v>1349</v>
      </c>
      <c r="E33" s="127" t="s">
        <v>352</v>
      </c>
      <c r="F33" s="554" t="s">
        <v>353</v>
      </c>
      <c r="G33" s="53">
        <f>G32-G31+G28</f>
        <v>2021</v>
      </c>
      <c r="H33" s="53">
        <f>H32-H31+H28</f>
        <v>1885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766</v>
      </c>
      <c r="D34" s="50">
        <f>IF((H33-D33)&gt;0,H33-D33,0)</f>
        <v>536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76</v>
      </c>
      <c r="D35" s="49">
        <f>D36+D37+D38</f>
        <v>141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156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-80</v>
      </c>
      <c r="D37" s="430">
        <v>141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690</v>
      </c>
      <c r="D39" s="460">
        <f>+IF((H33-D33-D35)&gt;0,H33-D33-D35,0)</f>
        <v>395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690</v>
      </c>
      <c r="D41" s="52">
        <f>IF(H39=0,IF(D39-D40&gt;0,D39-D40+H40,0),IF(H39-H40&lt;0,H40-H39+D39,0))</f>
        <v>395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2021</v>
      </c>
      <c r="D42" s="53">
        <f>D33+D35+D39</f>
        <v>1885</v>
      </c>
      <c r="E42" s="128" t="s">
        <v>379</v>
      </c>
      <c r="F42" s="129" t="s">
        <v>380</v>
      </c>
      <c r="G42" s="53">
        <f>G39+G33</f>
        <v>2021</v>
      </c>
      <c r="H42" s="53">
        <f>H39+H33</f>
        <v>1885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855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861</v>
      </c>
      <c r="C48" s="427" t="s">
        <v>816</v>
      </c>
      <c r="D48" s="582" t="s">
        <v>862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863</v>
      </c>
      <c r="D50" s="583" t="s">
        <v>866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48" sqref="F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Енерджи-Кърджали АД</v>
      </c>
      <c r="C4" s="541" t="s">
        <v>2</v>
      </c>
      <c r="D4" s="541">
        <f>'справка №1-БАЛАНС'!H3</f>
        <v>200611495</v>
      </c>
      <c r="E4" s="323"/>
      <c r="F4" s="323"/>
    </row>
    <row r="5" spans="1:4" ht="15">
      <c r="A5" s="470" t="s">
        <v>274</v>
      </c>
      <c r="B5" s="470">
        <f>'справка №1-БАЛАНС'!E4</f>
        <v>0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2020</v>
      </c>
      <c r="D10" s="54">
        <v>1929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-182</v>
      </c>
      <c r="D11" s="54">
        <v>-140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-395</v>
      </c>
      <c r="D14" s="54">
        <v>-301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1434</v>
      </c>
      <c r="D20" s="55">
        <f>SUM(D10:D19)</f>
        <v>1481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-50</v>
      </c>
      <c r="D22" s="54">
        <v>-72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-416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4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-462</v>
      </c>
      <c r="D32" s="55">
        <f>SUM(D22:D31)</f>
        <v>-72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</v>
      </c>
      <c r="D36" s="54">
        <v>1101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-770</v>
      </c>
      <c r="D37" s="54">
        <v>-1276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-141</v>
      </c>
      <c r="D39" s="54">
        <v>-347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-937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-901</v>
      </c>
      <c r="D42" s="55">
        <f>SUM(D34:D41)</f>
        <v>-1459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71</v>
      </c>
      <c r="D43" s="55">
        <f>D42+D32+D20</f>
        <v>-50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226</v>
      </c>
      <c r="D44" s="132">
        <v>546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297</v>
      </c>
      <c r="D45" s="55">
        <f>D44+D43</f>
        <v>496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C45-C47</f>
        <v>167</v>
      </c>
      <c r="D46" s="56">
        <f>D45-D47</f>
        <v>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130</v>
      </c>
      <c r="D47" s="56">
        <v>489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860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3" sqref="I2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Енерджи-Кърджали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200611495</v>
      </c>
      <c r="N3" s="2"/>
    </row>
    <row r="4" spans="1:15" s="532" customFormat="1" ht="13.5" customHeight="1">
      <c r="A4" s="467" t="s">
        <v>460</v>
      </c>
      <c r="B4" s="591">
        <f>'справка №1-БАЛАНС'!E4</f>
        <v>0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01.01.2016-30.06.2016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321</v>
      </c>
      <c r="G11" s="58">
        <f>'справка №1-БАЛАНС'!H23</f>
        <v>0</v>
      </c>
      <c r="H11" s="60"/>
      <c r="I11" s="58">
        <f>'справка №1-БАЛАНС'!H28+'справка №1-БАЛАНС'!H31</f>
        <v>2522</v>
      </c>
      <c r="J11" s="58">
        <f>'справка №1-БАЛАНС'!H29+'справка №1-БАЛАНС'!H32</f>
        <v>0</v>
      </c>
      <c r="K11" s="60"/>
      <c r="L11" s="344">
        <f>SUM(C11:K11)</f>
        <v>4323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321</v>
      </c>
      <c r="G15" s="61">
        <f t="shared" si="2"/>
        <v>0</v>
      </c>
      <c r="H15" s="61">
        <f t="shared" si="2"/>
        <v>0</v>
      </c>
      <c r="I15" s="61">
        <f t="shared" si="2"/>
        <v>2522</v>
      </c>
      <c r="J15" s="61">
        <f t="shared" si="2"/>
        <v>0</v>
      </c>
      <c r="K15" s="61">
        <f t="shared" si="2"/>
        <v>0</v>
      </c>
      <c r="L15" s="344">
        <f t="shared" si="1"/>
        <v>4323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690</v>
      </c>
      <c r="J16" s="345">
        <f>+'справка №1-БАЛАНС'!G32</f>
        <v>0</v>
      </c>
      <c r="K16" s="60"/>
      <c r="L16" s="344">
        <f t="shared" si="1"/>
        <v>690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321</v>
      </c>
      <c r="G29" s="59">
        <f t="shared" si="6"/>
        <v>0</v>
      </c>
      <c r="H29" s="59">
        <f t="shared" si="6"/>
        <v>0</v>
      </c>
      <c r="I29" s="59">
        <f t="shared" si="6"/>
        <v>3212</v>
      </c>
      <c r="J29" s="59">
        <f t="shared" si="6"/>
        <v>0</v>
      </c>
      <c r="K29" s="59">
        <f t="shared" si="6"/>
        <v>0</v>
      </c>
      <c r="L29" s="344">
        <f t="shared" si="1"/>
        <v>5013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1480</v>
      </c>
      <c r="D32" s="59">
        <f t="shared" si="7"/>
        <v>0</v>
      </c>
      <c r="E32" s="59">
        <f t="shared" si="7"/>
        <v>0</v>
      </c>
      <c r="F32" s="59">
        <f t="shared" si="7"/>
        <v>321</v>
      </c>
      <c r="G32" s="59">
        <f t="shared" si="7"/>
        <v>0</v>
      </c>
      <c r="H32" s="59">
        <f t="shared" si="7"/>
        <v>0</v>
      </c>
      <c r="I32" s="59">
        <f t="shared" si="7"/>
        <v>3212</v>
      </c>
      <c r="J32" s="59">
        <f t="shared" si="7"/>
        <v>0</v>
      </c>
      <c r="K32" s="59">
        <f t="shared" si="7"/>
        <v>0</v>
      </c>
      <c r="L32" s="344">
        <f t="shared" si="1"/>
        <v>5013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0" t="s">
        <v>381</v>
      </c>
      <c r="E38" s="590"/>
      <c r="F38" s="590" t="s">
        <v>862</v>
      </c>
      <c r="G38" s="590"/>
      <c r="H38" s="590"/>
      <c r="I38" s="590"/>
      <c r="J38" s="15" t="s">
        <v>869</v>
      </c>
      <c r="K38" s="15"/>
      <c r="L38" s="590" t="s">
        <v>866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O45" sqref="O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Енерджи-Кърджали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200611495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01.01.2016-30.06.2016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2" t="s">
        <v>528</v>
      </c>
      <c r="R5" s="602" t="s">
        <v>529</v>
      </c>
    </row>
    <row r="6" spans="1:18" s="100" customFormat="1" ht="48">
      <c r="A6" s="607"/>
      <c r="B6" s="608"/>
      <c r="C6" s="610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3"/>
      <c r="R6" s="603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1384</v>
      </c>
      <c r="E9" s="189"/>
      <c r="F9" s="189"/>
      <c r="G9" s="74">
        <f>D9+E9-F9</f>
        <v>1384</v>
      </c>
      <c r="H9" s="65"/>
      <c r="I9" s="65"/>
      <c r="J9" s="74">
        <f>G9+H9-I9</f>
        <v>1384</v>
      </c>
      <c r="K9" s="65">
        <v>183</v>
      </c>
      <c r="L9" s="65">
        <v>31</v>
      </c>
      <c r="M9" s="65"/>
      <c r="N9" s="74">
        <f>K9+L9-M9</f>
        <v>214</v>
      </c>
      <c r="O9" s="65"/>
      <c r="P9" s="65"/>
      <c r="Q9" s="74">
        <f aca="true" t="shared" si="0" ref="Q9:Q15">N9+O9-P9</f>
        <v>214</v>
      </c>
      <c r="R9" s="74">
        <f aca="true" t="shared" si="1" ref="R9:R15">J9-Q9</f>
        <v>1170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15984</v>
      </c>
      <c r="E11" s="189">
        <v>1</v>
      </c>
      <c r="F11" s="189"/>
      <c r="G11" s="74">
        <f t="shared" si="2"/>
        <v>15985</v>
      </c>
      <c r="H11" s="65"/>
      <c r="I11" s="65"/>
      <c r="J11" s="74">
        <f t="shared" si="3"/>
        <v>15985</v>
      </c>
      <c r="K11" s="65">
        <v>5976</v>
      </c>
      <c r="L11" s="65">
        <v>801</v>
      </c>
      <c r="M11" s="65"/>
      <c r="N11" s="74">
        <f t="shared" si="4"/>
        <v>6777</v>
      </c>
      <c r="O11" s="65"/>
      <c r="P11" s="65"/>
      <c r="Q11" s="74">
        <f t="shared" si="0"/>
        <v>6777</v>
      </c>
      <c r="R11" s="74">
        <f t="shared" si="1"/>
        <v>9208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96</v>
      </c>
      <c r="E14" s="189">
        <v>1</v>
      </c>
      <c r="F14" s="189"/>
      <c r="G14" s="74">
        <f t="shared" si="2"/>
        <v>97</v>
      </c>
      <c r="H14" s="65"/>
      <c r="I14" s="65"/>
      <c r="J14" s="74">
        <f t="shared" si="3"/>
        <v>97</v>
      </c>
      <c r="K14" s="65">
        <v>37</v>
      </c>
      <c r="L14" s="65">
        <v>3</v>
      </c>
      <c r="M14" s="65"/>
      <c r="N14" s="74">
        <f t="shared" si="4"/>
        <v>40</v>
      </c>
      <c r="O14" s="65"/>
      <c r="P14" s="65"/>
      <c r="Q14" s="74">
        <f t="shared" si="0"/>
        <v>40</v>
      </c>
      <c r="R14" s="74">
        <f t="shared" si="1"/>
        <v>57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>
        <v>40</v>
      </c>
      <c r="F15" s="457"/>
      <c r="G15" s="74">
        <f t="shared" si="2"/>
        <v>40</v>
      </c>
      <c r="H15" s="458"/>
      <c r="I15" s="458"/>
      <c r="J15" s="74">
        <f t="shared" si="3"/>
        <v>40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17464</v>
      </c>
      <c r="E17" s="194">
        <f>SUM(E9:E16)</f>
        <v>42</v>
      </c>
      <c r="F17" s="194">
        <f>SUM(F9:F16)</f>
        <v>0</v>
      </c>
      <c r="G17" s="74">
        <f t="shared" si="2"/>
        <v>17506</v>
      </c>
      <c r="H17" s="75">
        <f>SUM(H9:H16)</f>
        <v>0</v>
      </c>
      <c r="I17" s="75">
        <f>SUM(I9:I16)</f>
        <v>0</v>
      </c>
      <c r="J17" s="74">
        <f t="shared" si="3"/>
        <v>17506</v>
      </c>
      <c r="K17" s="75">
        <f>SUM(K9:K16)</f>
        <v>6196</v>
      </c>
      <c r="L17" s="75">
        <f>SUM(L9:L16)</f>
        <v>835</v>
      </c>
      <c r="M17" s="75">
        <f>SUM(M9:M16)</f>
        <v>0</v>
      </c>
      <c r="N17" s="74">
        <f t="shared" si="4"/>
        <v>7031</v>
      </c>
      <c r="O17" s="75">
        <f>SUM(O9:O16)</f>
        <v>0</v>
      </c>
      <c r="P17" s="75">
        <f>SUM(P9:P16)</f>
        <v>0</v>
      </c>
      <c r="Q17" s="74">
        <f t="shared" si="5"/>
        <v>7031</v>
      </c>
      <c r="R17" s="74">
        <f t="shared" si="6"/>
        <v>10475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17464</v>
      </c>
      <c r="E40" s="438">
        <f>E17+E18+E19+E25+E38+E39</f>
        <v>42</v>
      </c>
      <c r="F40" s="438">
        <f aca="true" t="shared" si="13" ref="F40:R40">F17+F18+F19+F25+F38+F39</f>
        <v>0</v>
      </c>
      <c r="G40" s="438">
        <f t="shared" si="13"/>
        <v>17506</v>
      </c>
      <c r="H40" s="438">
        <f t="shared" si="13"/>
        <v>0</v>
      </c>
      <c r="I40" s="438">
        <f t="shared" si="13"/>
        <v>0</v>
      </c>
      <c r="J40" s="438">
        <f t="shared" si="13"/>
        <v>17506</v>
      </c>
      <c r="K40" s="438">
        <f t="shared" si="13"/>
        <v>6196</v>
      </c>
      <c r="L40" s="438">
        <f t="shared" si="13"/>
        <v>835</v>
      </c>
      <c r="M40" s="438">
        <f t="shared" si="13"/>
        <v>0</v>
      </c>
      <c r="N40" s="438">
        <f t="shared" si="13"/>
        <v>7031</v>
      </c>
      <c r="O40" s="438">
        <f t="shared" si="13"/>
        <v>0</v>
      </c>
      <c r="P40" s="438">
        <f t="shared" si="13"/>
        <v>0</v>
      </c>
      <c r="Q40" s="438">
        <f t="shared" si="13"/>
        <v>7031</v>
      </c>
      <c r="R40" s="438">
        <f t="shared" si="13"/>
        <v>10475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859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1"/>
      <c r="L44" s="611"/>
      <c r="M44" s="611"/>
      <c r="N44" s="611"/>
      <c r="O44" s="600" t="s">
        <v>867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D108" sqref="AD10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Енерджи-Кърджали АД</v>
      </c>
      <c r="C3" s="619"/>
      <c r="D3" s="526" t="s">
        <v>2</v>
      </c>
      <c r="E3" s="107">
        <f>'справка №1-БАЛАНС'!H3</f>
        <v>200611495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01.01.2016-30.06.2016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739</v>
      </c>
      <c r="D11" s="119">
        <f>SUM(D12:D14)</f>
        <v>0</v>
      </c>
      <c r="E11" s="120">
        <f>SUM(E12:E14)</f>
        <v>739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739</v>
      </c>
      <c r="D12" s="108"/>
      <c r="E12" s="120">
        <f aca="true" t="shared" si="0" ref="E12:E42">C12-D12</f>
        <v>739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739</v>
      </c>
      <c r="D19" s="104">
        <f>D11+D15+D16</f>
        <v>0</v>
      </c>
      <c r="E19" s="118">
        <f>E11+E15+E16</f>
        <v>739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508</v>
      </c>
      <c r="D28" s="108">
        <v>508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4</v>
      </c>
      <c r="D31" s="108">
        <v>4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512</v>
      </c>
      <c r="D43" s="104">
        <f>D24+D28+D29+D31+D30+D32+D33+D38</f>
        <v>512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1251</v>
      </c>
      <c r="D44" s="103">
        <f>D43+D21+D19+D9</f>
        <v>512</v>
      </c>
      <c r="E44" s="118">
        <f>E43+E21+E19+E9</f>
        <v>739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5714</v>
      </c>
      <c r="D56" s="103">
        <f>D57+D59</f>
        <v>0</v>
      </c>
      <c r="E56" s="119">
        <f t="shared" si="1"/>
        <v>5714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5714</v>
      </c>
      <c r="D57" s="108"/>
      <c r="E57" s="119">
        <f t="shared" si="1"/>
        <v>5714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5714</v>
      </c>
      <c r="D66" s="103">
        <f>D52+D56+D61+D62+D63+D64</f>
        <v>0</v>
      </c>
      <c r="E66" s="119">
        <f t="shared" si="1"/>
        <v>5714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336</v>
      </c>
      <c r="D68" s="108"/>
      <c r="E68" s="119">
        <f t="shared" si="1"/>
        <v>336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4</v>
      </c>
      <c r="D75" s="103">
        <f>D76+D78</f>
        <v>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4</v>
      </c>
      <c r="D76" s="108">
        <v>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681</v>
      </c>
      <c r="D80" s="103">
        <f>SUM(D81:D84)</f>
        <v>681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681</v>
      </c>
      <c r="D83" s="108">
        <v>681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248</v>
      </c>
      <c r="D85" s="104">
        <f>SUM(D86:D90)+D94</f>
        <v>248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17</v>
      </c>
      <c r="D87" s="108">
        <v>17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230</v>
      </c>
      <c r="D90" s="103">
        <f>SUM(D91:D93)</f>
        <v>230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156</v>
      </c>
      <c r="D91" s="108">
        <v>156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72</v>
      </c>
      <c r="D92" s="108">
        <v>72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50</v>
      </c>
      <c r="D95" s="108">
        <v>50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983</v>
      </c>
      <c r="D96" s="104">
        <f>D85+D80+D75+D71+D95</f>
        <v>983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7033</v>
      </c>
      <c r="D97" s="104">
        <f>D96+D68+D66</f>
        <v>983</v>
      </c>
      <c r="E97" s="104">
        <f>E96+E68+E66</f>
        <v>6050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859</v>
      </c>
      <c r="B109" s="613"/>
      <c r="C109" s="613" t="s">
        <v>860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867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35" sqref="K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Енерджи-Кърджали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200611495</v>
      </c>
    </row>
    <row r="5" spans="1:9" ht="15">
      <c r="A5" s="501" t="s">
        <v>5</v>
      </c>
      <c r="B5" s="621" t="str">
        <f>'справка №1-БАЛАНС'!E5</f>
        <v>01.01.2016-30.06.2016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463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859</v>
      </c>
      <c r="B30" s="623"/>
      <c r="C30" s="623"/>
      <c r="D30" s="459" t="s">
        <v>381</v>
      </c>
      <c r="E30" s="622"/>
      <c r="F30" s="622"/>
      <c r="G30" s="622"/>
      <c r="H30" s="420" t="s">
        <v>871</v>
      </c>
      <c r="I30" s="622"/>
      <c r="J30" s="622"/>
    </row>
    <row r="31" spans="1:9" s="521" customFormat="1" ht="12">
      <c r="A31" s="349"/>
      <c r="B31" s="388"/>
      <c r="C31" s="349"/>
      <c r="D31" s="523" t="s">
        <v>862</v>
      </c>
      <c r="E31" s="523"/>
      <c r="F31" s="523"/>
      <c r="G31" s="523"/>
      <c r="H31" s="523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4" sqref="C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Енерджи-Кърджали АД</v>
      </c>
      <c r="C5" s="627"/>
      <c r="D5" s="627"/>
      <c r="E5" s="570" t="s">
        <v>2</v>
      </c>
      <c r="F5" s="451">
        <f>'справка №1-БАЛАНС'!H3</f>
        <v>200611495</v>
      </c>
    </row>
    <row r="6" spans="1:13" ht="15" customHeight="1">
      <c r="A6" s="27" t="s">
        <v>819</v>
      </c>
      <c r="B6" s="628" t="str">
        <f>'справка №1-БАЛАНС'!E5</f>
        <v>01.01.2016-30.06.2016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860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867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Milena Staykova</cp:lastModifiedBy>
  <cp:lastPrinted>2004-04-16T15:23:12Z</cp:lastPrinted>
  <dcterms:created xsi:type="dcterms:W3CDTF">2000-06-29T12:02:40Z</dcterms:created>
  <dcterms:modified xsi:type="dcterms:W3CDTF">2016-08-01T14:23:25Z</dcterms:modified>
  <cp:category/>
  <cp:version/>
  <cp:contentType/>
  <cp:contentStatus/>
</cp:coreProperties>
</file>